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\Downloads\"/>
    </mc:Choice>
  </mc:AlternateContent>
  <xr:revisionPtr revIDLastSave="0" documentId="13_ncr:1_{C831ACA6-4277-4383-BB49-C5FE0D5CB746}" xr6:coauthVersionLast="47" xr6:coauthVersionMax="47" xr10:uidLastSave="{00000000-0000-0000-0000-000000000000}"/>
  <bookViews>
    <workbookView xWindow="-120" yWindow="-120" windowWidth="25890" windowHeight="15660" xr2:uid="{BA5B2A6E-1C8E-4828-B9B2-1A43DA3998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1" l="1"/>
  <c r="N53" i="1"/>
  <c r="N52" i="1"/>
  <c r="O52" i="1"/>
  <c r="M52" i="1"/>
  <c r="L53" i="1"/>
  <c r="M53" i="1"/>
  <c r="K53" i="1"/>
  <c r="L51" i="1"/>
  <c r="M51" i="1" s="1"/>
  <c r="N51" i="1" s="1"/>
  <c r="O51" i="1" s="1"/>
  <c r="P51" i="1" s="1"/>
  <c r="Q51" i="1" s="1"/>
  <c r="R51" i="1" s="1"/>
  <c r="K47" i="1"/>
  <c r="K46" i="1"/>
  <c r="L46" i="1"/>
  <c r="L47" i="1"/>
  <c r="L44" i="1"/>
  <c r="L45" i="1" s="1"/>
  <c r="M44" i="1" l="1"/>
  <c r="M45" i="1" s="1"/>
  <c r="M47" i="1" l="1"/>
  <c r="M46" i="1"/>
  <c r="N44" i="1"/>
  <c r="N45" i="1" s="1"/>
  <c r="O44" i="1"/>
  <c r="O45" i="1" s="1"/>
  <c r="P44" i="1"/>
  <c r="P45" i="1" s="1"/>
  <c r="Q44" i="1"/>
  <c r="Q45" i="1" s="1"/>
  <c r="R44" i="1"/>
  <c r="R45" i="1" s="1"/>
  <c r="S44" i="1"/>
  <c r="S45" i="1" s="1"/>
  <c r="N46" i="1" l="1"/>
  <c r="N47" i="1"/>
  <c r="O47" i="1" l="1"/>
  <c r="O46" i="1"/>
  <c r="P46" i="1" l="1"/>
  <c r="P47" i="1"/>
  <c r="Q47" i="1" l="1"/>
  <c r="Q46" i="1"/>
  <c r="R46" i="1" l="1"/>
  <c r="R47" i="1"/>
  <c r="S47" i="1" l="1"/>
  <c r="R49" i="1"/>
  <c r="S46" i="1"/>
  <c r="R48" i="1"/>
  <c r="R50" i="1" s="1"/>
  <c r="S48" i="1" l="1"/>
  <c r="L48" i="1"/>
  <c r="K48" i="1"/>
  <c r="M48" i="1"/>
  <c r="N48" i="1"/>
  <c r="O48" i="1"/>
  <c r="P48" i="1"/>
  <c r="Q48" i="1"/>
  <c r="L52" i="1"/>
  <c r="S49" i="1"/>
  <c r="L49" i="1"/>
  <c r="K49" i="1"/>
  <c r="M49" i="1"/>
  <c r="N49" i="1"/>
  <c r="O49" i="1"/>
  <c r="P49" i="1"/>
  <c r="Q49" i="1"/>
  <c r="Q50" i="1" l="1"/>
  <c r="P50" i="1"/>
  <c r="O50" i="1"/>
  <c r="N50" i="1"/>
  <c r="M50" i="1"/>
  <c r="K50" i="1"/>
  <c r="L50" i="1"/>
  <c r="S50" i="1"/>
  <c r="P52" i="1" l="1"/>
  <c r="P53" i="1" s="1"/>
  <c r="Q52" i="1" l="1"/>
  <c r="Q53" i="1" l="1"/>
  <c r="R52" i="1" s="1"/>
  <c r="R53" i="1" s="1"/>
  <c r="S52" i="1"/>
  <c r="S53" i="1" s="1"/>
</calcChain>
</file>

<file path=xl/sharedStrings.xml><?xml version="1.0" encoding="utf-8"?>
<sst xmlns="http://schemas.openxmlformats.org/spreadsheetml/2006/main" count="105" uniqueCount="92">
  <si>
    <t>NCW Datum</t>
  </si>
  <si>
    <t>01-01-2024</t>
  </si>
  <si>
    <t>Peildatum</t>
  </si>
  <si>
    <t>14-02-2024</t>
  </si>
  <si>
    <t>Netto Contante waarde</t>
  </si>
  <si>
    <t>Eindsaldo</t>
  </si>
  <si>
    <t>Boekwaarde Datum</t>
  </si>
  <si>
    <t>31-12-2023</t>
  </si>
  <si>
    <t/>
  </si>
  <si>
    <t>Vorige Exploitatie</t>
  </si>
  <si>
    <t>Mutatie Exploitatie</t>
  </si>
  <si>
    <t>Nieuwe Exploitatie</t>
  </si>
  <si>
    <t>Boekwaarde per 1-1</t>
  </si>
  <si>
    <t>Geboekt in huidig jaar</t>
  </si>
  <si>
    <t>Totale Raming</t>
  </si>
  <si>
    <t>Restant</t>
  </si>
  <si>
    <t>2023</t>
  </si>
  <si>
    <t>2024</t>
  </si>
  <si>
    <t>2025</t>
  </si>
  <si>
    <t>2026</t>
  </si>
  <si>
    <t>2027</t>
  </si>
  <si>
    <t>2028</t>
  </si>
  <si>
    <t>2029</t>
  </si>
  <si>
    <t>2030</t>
  </si>
  <si>
    <t>38001</t>
  </si>
  <si>
    <t>verwerving</t>
  </si>
  <si>
    <t>38002</t>
  </si>
  <si>
    <t>slopen</t>
  </si>
  <si>
    <t>38003</t>
  </si>
  <si>
    <t>milieu</t>
  </si>
  <si>
    <t>38011</t>
  </si>
  <si>
    <t>bouw- en woonrijpmaken</t>
  </si>
  <si>
    <t>38012</t>
  </si>
  <si>
    <t>groen/water</t>
  </si>
  <si>
    <t>38013</t>
  </si>
  <si>
    <t>openbare verlichting/brandkranen</t>
  </si>
  <si>
    <t>38015</t>
  </si>
  <si>
    <t>diversen bouw-en woonrijpmaken</t>
  </si>
  <si>
    <t>38017</t>
  </si>
  <si>
    <t>Totale kosten bouwrijp maken</t>
  </si>
  <si>
    <t>38018</t>
  </si>
  <si>
    <t>Totale kosten woonrijp maken</t>
  </si>
  <si>
    <t>38020</t>
  </si>
  <si>
    <t>planontw/voorber/ toezicht</t>
  </si>
  <si>
    <t>38021</t>
  </si>
  <si>
    <t>tijdelijk beheer</t>
  </si>
  <si>
    <t>38030</t>
  </si>
  <si>
    <t>fonds bovenwijkse voorzieningen</t>
  </si>
  <si>
    <t>38031</t>
  </si>
  <si>
    <t>financieringsfonds SRE</t>
  </si>
  <si>
    <t>38034</t>
  </si>
  <si>
    <t>Diversen bouwrijpmaken</t>
  </si>
  <si>
    <t>38049</t>
  </si>
  <si>
    <t>diverse</t>
  </si>
  <si>
    <t>38081</t>
  </si>
  <si>
    <t>Uren BOVO</t>
  </si>
  <si>
    <t>39430</t>
  </si>
  <si>
    <t>WKR-gerichte vrijstelling</t>
  </si>
  <si>
    <t>Totaal kosten</t>
  </si>
  <si>
    <t>38503</t>
  </si>
  <si>
    <t>opbrengsten bedrijven</t>
  </si>
  <si>
    <t>38506</t>
  </si>
  <si>
    <t>opbrengsten bijz.bebouwing</t>
  </si>
  <si>
    <t>38507</t>
  </si>
  <si>
    <t>bijdragen</t>
  </si>
  <si>
    <t>39293</t>
  </si>
  <si>
    <t>Diverse verhuur</t>
  </si>
  <si>
    <t>Totaal opbrengsten</t>
  </si>
  <si>
    <t>Nominaal saldo (kosten - opbrengsten)</t>
  </si>
  <si>
    <t>Kostenstijging</t>
  </si>
  <si>
    <t>Opbrengstenstijging</t>
  </si>
  <si>
    <t>461000</t>
  </si>
  <si>
    <t>Rente</t>
  </si>
  <si>
    <t>Saldo investeringen</t>
  </si>
  <si>
    <t>Resultaat cumulatief volgens BBV</t>
  </si>
  <si>
    <t>38033</t>
  </si>
  <si>
    <t>Winstneming</t>
  </si>
  <si>
    <t>Totaal dekking</t>
  </si>
  <si>
    <t>Resultaat Projectsaldo</t>
  </si>
  <si>
    <t>Resultaat Projectsaldo Cumulatief</t>
  </si>
  <si>
    <t>Rente over prognose winstnemingen</t>
  </si>
  <si>
    <t>Rente %</t>
  </si>
  <si>
    <t>Opbrengsten cumulatief</t>
  </si>
  <si>
    <t>Kosten cumulatief</t>
  </si>
  <si>
    <t>Gecorrigeerde rente</t>
  </si>
  <si>
    <t>Rekenvoorbeeld POC</t>
  </si>
  <si>
    <t>BW</t>
  </si>
  <si>
    <t>Gerealiseerde kosten %</t>
  </si>
  <si>
    <t>Gerealiseerde opbrengsten %</t>
  </si>
  <si>
    <t>POC %</t>
  </si>
  <si>
    <t>Risico reservering</t>
  </si>
  <si>
    <t>Prognose resultaat (na rente correctie)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</si>
</sst>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5" formatCode="_ * #,##0_ ;_ * \-#,##0_ ;_ * &quot; - &quot;??_ ;_ @_ "/>
    <numFmt numFmtId="167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4499D4"/>
      <name val="Verdana"/>
      <family val="2"/>
    </font>
    <font>
      <sz val="10"/>
      <color rgb="FF202F4A"/>
      <name val="Verdana"/>
      <family val="2"/>
    </font>
    <font>
      <b/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4499D4"/>
      </bottom>
      <diagonal/>
    </border>
    <border>
      <left style="thin">
        <color rgb="FF4499D4"/>
      </left>
      <right/>
      <top/>
      <bottom/>
      <diagonal/>
    </border>
    <border>
      <left style="thin">
        <color rgb="FF4499D4"/>
      </left>
      <right/>
      <top/>
      <bottom style="thin">
        <color rgb="FF4499D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2"/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0" fontId="3" fillId="0" borderId="1" xfId="2" applyFont="1" applyBorder="1" applyAlignment="1">
      <alignment horizontal="left" vertical="top"/>
    </xf>
    <xf numFmtId="165" fontId="3" fillId="0" borderId="2" xfId="2" applyNumberFormat="1" applyFont="1" applyBorder="1" applyAlignment="1">
      <alignment horizontal="right" vertical="top"/>
    </xf>
    <xf numFmtId="0" fontId="4" fillId="0" borderId="0" xfId="2" applyFont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5" fillId="0" borderId="0" xfId="2" applyFont="1" applyAlignment="1">
      <alignment horizontal="left" vertical="top"/>
    </xf>
    <xf numFmtId="165" fontId="5" fillId="0" borderId="0" xfId="2" applyNumberFormat="1" applyFont="1" applyAlignment="1">
      <alignment horizontal="right" vertical="top"/>
    </xf>
    <xf numFmtId="165" fontId="5" fillId="0" borderId="2" xfId="2" applyNumberFormat="1" applyFont="1" applyBorder="1" applyAlignment="1">
      <alignment horizontal="right" vertical="top"/>
    </xf>
    <xf numFmtId="0" fontId="5" fillId="0" borderId="1" xfId="2" applyFont="1" applyBorder="1" applyAlignment="1">
      <alignment horizontal="left" vertical="top"/>
    </xf>
    <xf numFmtId="165" fontId="5" fillId="0" borderId="1" xfId="2" applyNumberFormat="1" applyFont="1" applyBorder="1" applyAlignment="1">
      <alignment horizontal="right" vertical="top"/>
    </xf>
    <xf numFmtId="165" fontId="5" fillId="0" borderId="3" xfId="2" applyNumberFormat="1" applyFont="1" applyBorder="1" applyAlignment="1">
      <alignment horizontal="right" vertical="top"/>
    </xf>
    <xf numFmtId="10" fontId="0" fillId="0" borderId="0" xfId="1" applyNumberFormat="1" applyFont="1"/>
    <xf numFmtId="10" fontId="0" fillId="0" borderId="0" xfId="0" applyNumberFormat="1"/>
    <xf numFmtId="44" fontId="2" fillId="0" borderId="0" xfId="2" applyNumberFormat="1"/>
    <xf numFmtId="44" fontId="0" fillId="0" borderId="0" xfId="0" applyNumberFormat="1"/>
    <xf numFmtId="165" fontId="0" fillId="0" borderId="0" xfId="0" applyNumberFormat="1"/>
    <xf numFmtId="43" fontId="0" fillId="0" borderId="0" xfId="6" applyFont="1" applyAlignment="1">
      <alignment horizontal="right"/>
    </xf>
    <xf numFmtId="0" fontId="0" fillId="0" borderId="0" xfId="0" applyAlignment="1">
      <alignment horizontal="right"/>
    </xf>
    <xf numFmtId="165" fontId="7" fillId="0" borderId="0" xfId="2" applyNumberFormat="1" applyFont="1" applyAlignment="1">
      <alignment horizontal="right" vertical="top"/>
    </xf>
    <xf numFmtId="167" fontId="0" fillId="0" borderId="0" xfId="6" applyNumberFormat="1" applyFont="1"/>
    <xf numFmtId="167" fontId="0" fillId="0" borderId="0" xfId="0" applyNumberFormat="1"/>
    <xf numFmtId="0" fontId="6" fillId="0" borderId="0" xfId="0" applyFont="1" applyAlignment="1">
      <alignment horizontal="right"/>
    </xf>
    <xf numFmtId="167" fontId="6" fillId="0" borderId="0" xfId="0" applyNumberFormat="1" applyFont="1"/>
    <xf numFmtId="165" fontId="3" fillId="0" borderId="0" xfId="2" applyNumberFormat="1" applyFont="1" applyBorder="1" applyAlignment="1">
      <alignment horizontal="right" vertical="top"/>
    </xf>
    <xf numFmtId="0" fontId="3" fillId="0" borderId="1" xfId="2" applyNumberFormat="1" applyFont="1" applyBorder="1" applyAlignment="1">
      <alignment horizontal="center" vertical="top"/>
    </xf>
    <xf numFmtId="43" fontId="0" fillId="0" borderId="0" xfId="0" applyNumberFormat="1"/>
  </cellXfs>
  <cellStyles count="7">
    <cellStyle name="Currency 2" xfId="3" xr:uid="{23C31E99-4C7C-4A6C-A0D4-873FBC7D1A13}"/>
    <cellStyle name="Komma" xfId="6" builtinId="3"/>
    <cellStyle name="Normal 2" xfId="5" xr:uid="{D7EC53E9-DAA3-4D8E-9D6B-ABCE042CF09F}"/>
    <cellStyle name="Normal 3" xfId="4" xr:uid="{B4E0AFCB-3FAD-4B9D-A209-F3E93BF54974}"/>
    <cellStyle name="Normal 4" xfId="2" xr:uid="{95EEC11F-5BCC-4634-998A-F4756F88C8A5}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53</xdr:row>
      <xdr:rowOff>123825</xdr:rowOff>
    </xdr:from>
    <xdr:to>
      <xdr:col>19</xdr:col>
      <xdr:colOff>450472</xdr:colOff>
      <xdr:row>81</xdr:row>
      <xdr:rowOff>95990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F4E04DF-5CD0-A010-2616-B1FCC6681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220325"/>
          <a:ext cx="20043397" cy="5306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55EC-E1AA-4CE4-AF00-688942AFBAF7}">
  <dimension ref="B1:S55"/>
  <sheetViews>
    <sheetView showGridLines="0" tabSelected="1" workbookViewId="0">
      <selection activeCell="U49" sqref="U49"/>
    </sheetView>
  </sheetViews>
  <sheetFormatPr defaultRowHeight="15" x14ac:dyDescent="0.25"/>
  <cols>
    <col min="2" max="2" width="9.7109375" bestFit="1" customWidth="1"/>
    <col min="3" max="3" width="38.7109375" bestFit="1" customWidth="1"/>
    <col min="4" max="4" width="17.5703125" bestFit="1" customWidth="1"/>
    <col min="5" max="5" width="21.140625" bestFit="1" customWidth="1"/>
    <col min="6" max="6" width="18.42578125" bestFit="1" customWidth="1"/>
    <col min="7" max="7" width="20.28515625" bestFit="1" customWidth="1"/>
    <col min="8" max="8" width="21.85546875" bestFit="1" customWidth="1"/>
    <col min="9" max="9" width="20.28515625" bestFit="1" customWidth="1"/>
    <col min="10" max="10" width="19.28515625" bestFit="1" customWidth="1"/>
    <col min="11" max="11" width="12.140625" bestFit="1" customWidth="1"/>
    <col min="12" max="12" width="18.42578125" bestFit="1" customWidth="1"/>
    <col min="13" max="14" width="14.28515625" bestFit="1" customWidth="1"/>
    <col min="15" max="15" width="13.7109375" bestFit="1" customWidth="1"/>
    <col min="16" max="19" width="14.140625" bestFit="1" customWidth="1"/>
  </cols>
  <sheetData>
    <row r="1" spans="2:19" x14ac:dyDescent="0.25">
      <c r="B1" s="2" t="s">
        <v>85</v>
      </c>
      <c r="C1" s="1"/>
      <c r="D1" s="1"/>
      <c r="E1" s="17"/>
      <c r="F1" s="1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E2" s="18"/>
      <c r="G2" s="18"/>
    </row>
    <row r="3" spans="2:19" x14ac:dyDescent="0.25">
      <c r="B3" s="1"/>
      <c r="C3" s="1"/>
      <c r="D3" s="1"/>
      <c r="E3" s="1"/>
      <c r="F3" s="1"/>
      <c r="G3" s="1"/>
      <c r="H3" s="1"/>
      <c r="I3" s="1"/>
      <c r="J3" s="3" t="s">
        <v>0</v>
      </c>
      <c r="K3" s="7" t="s">
        <v>1</v>
      </c>
      <c r="L3" s="1"/>
      <c r="M3" s="1"/>
      <c r="N3" s="1"/>
      <c r="O3" s="1"/>
      <c r="P3" s="1"/>
      <c r="Q3" s="1"/>
      <c r="R3" s="1"/>
      <c r="S3" s="1"/>
    </row>
    <row r="4" spans="2:19" x14ac:dyDescent="0.25">
      <c r="B4" s="1"/>
      <c r="C4" s="1"/>
      <c r="D4" s="1"/>
      <c r="E4" s="1"/>
      <c r="F4" s="1"/>
      <c r="G4" s="1"/>
      <c r="H4" s="1"/>
      <c r="I4" s="1"/>
      <c r="J4" s="3" t="s">
        <v>2</v>
      </c>
      <c r="K4" s="7" t="s">
        <v>3</v>
      </c>
      <c r="L4" s="1"/>
      <c r="M4" s="1"/>
      <c r="N4" s="1"/>
      <c r="O4" s="1"/>
      <c r="P4" s="1"/>
      <c r="Q4" s="1"/>
      <c r="R4" s="1"/>
      <c r="S4" s="1"/>
    </row>
    <row r="5" spans="2:19" x14ac:dyDescent="0.25">
      <c r="B5" s="1"/>
      <c r="C5" s="3" t="s">
        <v>4</v>
      </c>
      <c r="D5" s="8">
        <v>-197207.86850000001</v>
      </c>
      <c r="E5" s="1"/>
      <c r="F5" s="3" t="s">
        <v>5</v>
      </c>
      <c r="G5" s="8">
        <v>-226529.85200000001</v>
      </c>
      <c r="H5" s="1"/>
      <c r="I5" s="1"/>
      <c r="J5" s="3" t="s">
        <v>6</v>
      </c>
      <c r="K5" s="7" t="s">
        <v>7</v>
      </c>
      <c r="L5" s="1"/>
      <c r="M5" s="1"/>
      <c r="N5" s="1"/>
      <c r="O5" s="1"/>
      <c r="P5" s="1"/>
      <c r="Q5" s="1"/>
      <c r="R5" s="1"/>
      <c r="S5" s="1"/>
    </row>
    <row r="7" spans="2:19" x14ac:dyDescent="0.25">
      <c r="B7" s="5" t="s">
        <v>8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12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</row>
    <row r="8" spans="2:19" x14ac:dyDescent="0.25">
      <c r="B8" s="9" t="s">
        <v>24</v>
      </c>
      <c r="C8" s="9" t="s">
        <v>25</v>
      </c>
      <c r="D8" s="11">
        <v>7337653.75</v>
      </c>
      <c r="E8" s="10">
        <v>834000</v>
      </c>
      <c r="F8" s="10">
        <v>8171653.75</v>
      </c>
      <c r="G8" s="10">
        <v>7315165.75</v>
      </c>
      <c r="H8" s="10">
        <v>22488</v>
      </c>
      <c r="I8" s="10">
        <v>7337653.75</v>
      </c>
      <c r="J8" s="11">
        <v>834000</v>
      </c>
      <c r="K8" s="10">
        <v>0</v>
      </c>
      <c r="L8" s="10">
        <v>22488</v>
      </c>
      <c r="M8" s="10">
        <v>834000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2:19" x14ac:dyDescent="0.25">
      <c r="B9" s="9" t="s">
        <v>26</v>
      </c>
      <c r="C9" s="9" t="s">
        <v>27</v>
      </c>
      <c r="D9" s="11">
        <v>214715.1</v>
      </c>
      <c r="E9" s="10">
        <v>0</v>
      </c>
      <c r="F9" s="10">
        <v>214715.1</v>
      </c>
      <c r="G9" s="10">
        <v>179715.1</v>
      </c>
      <c r="H9" s="10">
        <v>34999.99</v>
      </c>
      <c r="I9" s="10">
        <v>214715.09</v>
      </c>
      <c r="J9" s="11">
        <v>0</v>
      </c>
      <c r="K9" s="10">
        <v>0</v>
      </c>
      <c r="L9" s="10">
        <v>35000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2:19" x14ac:dyDescent="0.25">
      <c r="B10" s="9" t="s">
        <v>28</v>
      </c>
      <c r="C10" s="9" t="s">
        <v>29</v>
      </c>
      <c r="D10" s="11">
        <v>4576549.45</v>
      </c>
      <c r="E10" s="10">
        <v>0</v>
      </c>
      <c r="F10" s="10">
        <v>4576549.45</v>
      </c>
      <c r="G10" s="10">
        <v>4576549.45</v>
      </c>
      <c r="H10" s="10">
        <v>0</v>
      </c>
      <c r="I10" s="10">
        <v>4576549.45</v>
      </c>
      <c r="J10" s="11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2:19" x14ac:dyDescent="0.25">
      <c r="B11" s="9" t="s">
        <v>30</v>
      </c>
      <c r="C11" s="9" t="s">
        <v>31</v>
      </c>
      <c r="D11" s="11">
        <v>3423259.29</v>
      </c>
      <c r="E11" s="10">
        <v>0</v>
      </c>
      <c r="F11" s="10">
        <v>3423259.29</v>
      </c>
      <c r="G11" s="10">
        <v>3423259.29</v>
      </c>
      <c r="H11" s="10">
        <v>0</v>
      </c>
      <c r="I11" s="10">
        <v>3423259.29</v>
      </c>
      <c r="J11" s="11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2:19" x14ac:dyDescent="0.25">
      <c r="B12" s="9" t="s">
        <v>32</v>
      </c>
      <c r="C12" s="9" t="s">
        <v>33</v>
      </c>
      <c r="D12" s="11">
        <v>1201305.0251</v>
      </c>
      <c r="E12" s="10">
        <v>885230.36820000003</v>
      </c>
      <c r="F12" s="10">
        <v>2086535.3933000001</v>
      </c>
      <c r="G12" s="10">
        <v>688739.7</v>
      </c>
      <c r="H12" s="10">
        <v>231080.63</v>
      </c>
      <c r="I12" s="10">
        <v>919820.33</v>
      </c>
      <c r="J12" s="11">
        <v>1166715.0633</v>
      </c>
      <c r="K12" s="10">
        <v>0</v>
      </c>
      <c r="L12" s="10">
        <v>231080.79</v>
      </c>
      <c r="M12" s="10">
        <v>168959.27189999999</v>
      </c>
      <c r="N12" s="10">
        <v>168959.27189999999</v>
      </c>
      <c r="O12" s="10">
        <v>166959.27189999999</v>
      </c>
      <c r="P12" s="10">
        <v>166959.27189999999</v>
      </c>
      <c r="Q12" s="10">
        <v>165959.27189999999</v>
      </c>
      <c r="R12" s="10">
        <v>164959.27189999999</v>
      </c>
      <c r="S12" s="10">
        <v>163959.27189999999</v>
      </c>
    </row>
    <row r="13" spans="2:19" x14ac:dyDescent="0.25">
      <c r="B13" s="9" t="s">
        <v>34</v>
      </c>
      <c r="C13" s="9" t="s">
        <v>35</v>
      </c>
      <c r="D13" s="11">
        <v>162720.60999999999</v>
      </c>
      <c r="E13" s="10">
        <v>0</v>
      </c>
      <c r="F13" s="10">
        <v>162720.60999999999</v>
      </c>
      <c r="G13" s="10">
        <v>162720.60999999999</v>
      </c>
      <c r="H13" s="10">
        <v>0</v>
      </c>
      <c r="I13" s="10">
        <v>162720.60999999999</v>
      </c>
      <c r="J13" s="11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2:19" x14ac:dyDescent="0.25">
      <c r="B14" s="9" t="s">
        <v>36</v>
      </c>
      <c r="C14" s="9" t="s">
        <v>37</v>
      </c>
      <c r="D14" s="11">
        <v>3236335.08</v>
      </c>
      <c r="E14" s="10">
        <v>0</v>
      </c>
      <c r="F14" s="10">
        <v>3236335.08</v>
      </c>
      <c r="G14" s="10">
        <v>3236197.08</v>
      </c>
      <c r="H14" s="10">
        <v>137.63</v>
      </c>
      <c r="I14" s="10">
        <v>3236334.71</v>
      </c>
      <c r="J14" s="11">
        <v>0</v>
      </c>
      <c r="K14" s="10">
        <v>0</v>
      </c>
      <c r="L14" s="10">
        <v>138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2:19" x14ac:dyDescent="0.25">
      <c r="B15" s="9" t="s">
        <v>38</v>
      </c>
      <c r="C15" s="9" t="s">
        <v>39</v>
      </c>
      <c r="D15" s="11">
        <v>5023200.9698000001</v>
      </c>
      <c r="E15" s="10">
        <v>2664627.7697000001</v>
      </c>
      <c r="F15" s="10">
        <v>7687828.7395000001</v>
      </c>
      <c r="G15" s="10">
        <v>123521.38</v>
      </c>
      <c r="H15" s="10">
        <v>7071.69</v>
      </c>
      <c r="I15" s="10">
        <v>130593.07</v>
      </c>
      <c r="J15" s="11">
        <v>7557235.6694999998</v>
      </c>
      <c r="K15" s="10">
        <v>0</v>
      </c>
      <c r="L15" s="10">
        <v>7071.69</v>
      </c>
      <c r="M15" s="10">
        <v>4573517.3130999999</v>
      </c>
      <c r="N15" s="10">
        <v>2983718.3563999999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</row>
    <row r="16" spans="2:19" x14ac:dyDescent="0.25">
      <c r="B16" s="9" t="s">
        <v>40</v>
      </c>
      <c r="C16" s="9" t="s">
        <v>41</v>
      </c>
      <c r="D16" s="11">
        <v>887125.83600000001</v>
      </c>
      <c r="E16" s="10">
        <v>184326.84710000001</v>
      </c>
      <c r="F16" s="10">
        <v>1071452.6831</v>
      </c>
      <c r="G16" s="10">
        <v>0</v>
      </c>
      <c r="H16" s="10">
        <v>493.46</v>
      </c>
      <c r="I16" s="10">
        <v>493.46</v>
      </c>
      <c r="J16" s="11">
        <v>1070959.2231000001</v>
      </c>
      <c r="K16" s="10">
        <v>0</v>
      </c>
      <c r="L16" s="10">
        <v>493.46</v>
      </c>
      <c r="M16" s="10">
        <v>134328.85089999999</v>
      </c>
      <c r="N16" s="10">
        <v>161928.85089999999</v>
      </c>
      <c r="O16" s="10">
        <v>239770.4564</v>
      </c>
      <c r="P16" s="10">
        <v>239770.4564</v>
      </c>
      <c r="Q16" s="10">
        <v>295160.60849999997</v>
      </c>
      <c r="R16" s="10">
        <v>0</v>
      </c>
      <c r="S16" s="10">
        <v>0</v>
      </c>
    </row>
    <row r="17" spans="2:19" x14ac:dyDescent="0.25">
      <c r="B17" s="9" t="s">
        <v>42</v>
      </c>
      <c r="C17" s="9" t="s">
        <v>43</v>
      </c>
      <c r="D17" s="11">
        <v>6361709.7999999998</v>
      </c>
      <c r="E17" s="10">
        <v>144638.15</v>
      </c>
      <c r="F17" s="10">
        <v>6506347.9500000002</v>
      </c>
      <c r="G17" s="10">
        <v>4624626.4000000004</v>
      </c>
      <c r="H17" s="10">
        <v>376956.62</v>
      </c>
      <c r="I17" s="10">
        <v>5001583.0200000005</v>
      </c>
      <c r="J17" s="11">
        <v>1504764.93</v>
      </c>
      <c r="K17" s="10">
        <v>0</v>
      </c>
      <c r="L17" s="10">
        <v>376956.55</v>
      </c>
      <c r="M17" s="10">
        <v>300368</v>
      </c>
      <c r="N17" s="10">
        <v>283470</v>
      </c>
      <c r="O17" s="10">
        <v>187571</v>
      </c>
      <c r="P17" s="10">
        <v>178356</v>
      </c>
      <c r="Q17" s="10">
        <v>185000</v>
      </c>
      <c r="R17" s="10">
        <v>185000</v>
      </c>
      <c r="S17" s="10">
        <v>185000</v>
      </c>
    </row>
    <row r="18" spans="2:19" x14ac:dyDescent="0.25">
      <c r="B18" s="9" t="s">
        <v>44</v>
      </c>
      <c r="C18" s="9" t="s">
        <v>45</v>
      </c>
      <c r="D18" s="11">
        <v>5117.93</v>
      </c>
      <c r="E18" s="10">
        <v>0</v>
      </c>
      <c r="F18" s="10">
        <v>5117.93</v>
      </c>
      <c r="G18" s="10">
        <v>4370.0200000000004</v>
      </c>
      <c r="H18" s="10">
        <v>88.75</v>
      </c>
      <c r="I18" s="10">
        <v>4458.7700000000004</v>
      </c>
      <c r="J18" s="11">
        <v>659.16</v>
      </c>
      <c r="K18" s="10">
        <v>0</v>
      </c>
      <c r="L18" s="10">
        <v>88.75</v>
      </c>
      <c r="M18" s="10">
        <v>90.08</v>
      </c>
      <c r="N18" s="10">
        <v>91.43</v>
      </c>
      <c r="O18" s="10">
        <v>92.8</v>
      </c>
      <c r="P18" s="10">
        <v>94.2</v>
      </c>
      <c r="Q18" s="10">
        <v>95.61</v>
      </c>
      <c r="R18" s="10">
        <v>97.04</v>
      </c>
      <c r="S18" s="10">
        <v>98</v>
      </c>
    </row>
    <row r="19" spans="2:19" x14ac:dyDescent="0.25">
      <c r="B19" s="9" t="s">
        <v>46</v>
      </c>
      <c r="C19" s="9" t="s">
        <v>47</v>
      </c>
      <c r="D19" s="11">
        <v>6367860</v>
      </c>
      <c r="E19" s="10">
        <v>0</v>
      </c>
      <c r="F19" s="10">
        <v>6367860</v>
      </c>
      <c r="G19" s="10">
        <v>6367860</v>
      </c>
      <c r="H19" s="10">
        <v>0</v>
      </c>
      <c r="I19" s="10">
        <v>6367860</v>
      </c>
      <c r="J19" s="11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2:19" x14ac:dyDescent="0.25">
      <c r="B20" s="9" t="s">
        <v>48</v>
      </c>
      <c r="C20" s="9" t="s">
        <v>49</v>
      </c>
      <c r="D20" s="11">
        <v>465431.91</v>
      </c>
      <c r="E20" s="10">
        <v>0</v>
      </c>
      <c r="F20" s="10">
        <v>465431.91</v>
      </c>
      <c r="G20" s="10">
        <v>465431.91</v>
      </c>
      <c r="H20" s="10">
        <v>0</v>
      </c>
      <c r="I20" s="10">
        <v>465431.91</v>
      </c>
      <c r="J20" s="11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2:19" x14ac:dyDescent="0.25">
      <c r="B21" s="9" t="s">
        <v>50</v>
      </c>
      <c r="C21" s="9" t="s">
        <v>51</v>
      </c>
      <c r="D21" s="11">
        <v>39498.772799999999</v>
      </c>
      <c r="E21" s="10">
        <v>124079.6972</v>
      </c>
      <c r="F21" s="10">
        <v>163578.47</v>
      </c>
      <c r="G21" s="10">
        <v>0</v>
      </c>
      <c r="H21" s="10">
        <v>525.47</v>
      </c>
      <c r="I21" s="10">
        <v>525.47</v>
      </c>
      <c r="J21" s="11">
        <v>163053</v>
      </c>
      <c r="K21" s="10">
        <v>0</v>
      </c>
      <c r="L21" s="10">
        <v>525.47</v>
      </c>
      <c r="M21" s="10">
        <v>81526.5</v>
      </c>
      <c r="N21" s="10">
        <v>81526.5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</row>
    <row r="22" spans="2:19" x14ac:dyDescent="0.25">
      <c r="B22" s="9" t="s">
        <v>52</v>
      </c>
      <c r="C22" s="9" t="s">
        <v>53</v>
      </c>
      <c r="D22" s="11">
        <v>3281.01</v>
      </c>
      <c r="E22" s="10">
        <v>0</v>
      </c>
      <c r="F22" s="10">
        <v>3281.01</v>
      </c>
      <c r="G22" s="10">
        <v>3281.01</v>
      </c>
      <c r="H22" s="10">
        <v>0</v>
      </c>
      <c r="I22" s="10">
        <v>3281.01</v>
      </c>
      <c r="J22" s="11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</row>
    <row r="23" spans="2:19" x14ac:dyDescent="0.25">
      <c r="B23" s="9" t="s">
        <v>54</v>
      </c>
      <c r="C23" s="9" t="s">
        <v>55</v>
      </c>
      <c r="D23" s="11">
        <v>5331.63</v>
      </c>
      <c r="E23" s="10">
        <v>0</v>
      </c>
      <c r="F23" s="10">
        <v>5331.63</v>
      </c>
      <c r="G23" s="10">
        <v>5331.63</v>
      </c>
      <c r="H23" s="10">
        <v>0</v>
      </c>
      <c r="I23" s="10">
        <v>5331.63</v>
      </c>
      <c r="J23" s="11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</row>
    <row r="24" spans="2:19" x14ac:dyDescent="0.25">
      <c r="B24" s="9" t="s">
        <v>56</v>
      </c>
      <c r="C24" s="9" t="s">
        <v>57</v>
      </c>
      <c r="D24" s="11">
        <v>0</v>
      </c>
      <c r="E24" s="10">
        <v>38</v>
      </c>
      <c r="F24" s="10">
        <v>38</v>
      </c>
      <c r="G24" s="10">
        <v>0</v>
      </c>
      <c r="H24" s="10">
        <v>37.99</v>
      </c>
      <c r="I24" s="10">
        <v>37.99</v>
      </c>
      <c r="J24" s="11">
        <v>0</v>
      </c>
      <c r="K24" s="10">
        <v>0</v>
      </c>
      <c r="L24" s="10">
        <v>38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</row>
    <row r="25" spans="2:19" x14ac:dyDescent="0.25">
      <c r="B25" s="12" t="s">
        <v>8</v>
      </c>
      <c r="C25" s="12" t="s">
        <v>58</v>
      </c>
      <c r="D25" s="14">
        <v>39311096.163699999</v>
      </c>
      <c r="E25" s="13">
        <v>4836940.8322000001</v>
      </c>
      <c r="F25" s="13">
        <v>44148036.995899998</v>
      </c>
      <c r="G25" s="13">
        <v>31176769.329999998</v>
      </c>
      <c r="H25" s="13">
        <v>673880.23</v>
      </c>
      <c r="I25" s="13">
        <v>31850649.559999999</v>
      </c>
      <c r="J25" s="14">
        <v>12297387.435900001</v>
      </c>
      <c r="K25" s="14">
        <v>0</v>
      </c>
      <c r="L25" s="13">
        <v>673880.71</v>
      </c>
      <c r="M25" s="13">
        <v>6092790.0159</v>
      </c>
      <c r="N25" s="13">
        <v>3679694.4092000001</v>
      </c>
      <c r="O25" s="13">
        <v>594393.52830000001</v>
      </c>
      <c r="P25" s="13">
        <v>585179.92830000003</v>
      </c>
      <c r="Q25" s="13">
        <v>646215.49040000001</v>
      </c>
      <c r="R25" s="13">
        <v>350056.31189999997</v>
      </c>
      <c r="S25" s="13">
        <v>349057.27189999999</v>
      </c>
    </row>
    <row r="26" spans="2:19" x14ac:dyDescent="0.25">
      <c r="B26" s="9" t="s">
        <v>59</v>
      </c>
      <c r="C26" s="9" t="s">
        <v>60</v>
      </c>
      <c r="D26" s="11">
        <v>55208202.270000003</v>
      </c>
      <c r="E26" s="10">
        <v>8403420.0799000002</v>
      </c>
      <c r="F26" s="10">
        <v>63611622.3499</v>
      </c>
      <c r="G26" s="10">
        <v>22590013.27</v>
      </c>
      <c r="H26" s="10">
        <v>6648037.0800000001</v>
      </c>
      <c r="I26" s="10">
        <v>29238050.350000001</v>
      </c>
      <c r="J26" s="11">
        <v>34373571.999899998</v>
      </c>
      <c r="K26" s="10">
        <v>0</v>
      </c>
      <c r="L26" s="10">
        <v>6648037.0800000001</v>
      </c>
      <c r="M26" s="10">
        <v>5253313</v>
      </c>
      <c r="N26" s="10">
        <v>14692896.3333</v>
      </c>
      <c r="O26" s="10">
        <v>7213681.3333000001</v>
      </c>
      <c r="P26" s="10">
        <v>7213681.3333000001</v>
      </c>
      <c r="Q26" s="10">
        <v>0</v>
      </c>
      <c r="R26" s="10">
        <v>0</v>
      </c>
      <c r="S26" s="10">
        <v>0</v>
      </c>
    </row>
    <row r="27" spans="2:19" x14ac:dyDescent="0.25">
      <c r="B27" s="9" t="s">
        <v>61</v>
      </c>
      <c r="C27" s="9" t="s">
        <v>62</v>
      </c>
      <c r="D27" s="11">
        <v>2774650.32</v>
      </c>
      <c r="E27" s="10">
        <v>0</v>
      </c>
      <c r="F27" s="10">
        <v>2774650.32</v>
      </c>
      <c r="G27" s="10">
        <v>2774650.32</v>
      </c>
      <c r="H27" s="10">
        <v>0</v>
      </c>
      <c r="I27" s="10">
        <v>2774650.32</v>
      </c>
      <c r="J27" s="11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</row>
    <row r="28" spans="2:19" x14ac:dyDescent="0.25">
      <c r="B28" s="9" t="s">
        <v>63</v>
      </c>
      <c r="C28" s="9" t="s">
        <v>64</v>
      </c>
      <c r="D28" s="11">
        <v>5812112.1884000003</v>
      </c>
      <c r="E28" s="10">
        <v>7242908.0039999997</v>
      </c>
      <c r="F28" s="10">
        <v>13055020.192399999</v>
      </c>
      <c r="G28" s="10">
        <v>4098386.28</v>
      </c>
      <c r="H28" s="10">
        <v>0</v>
      </c>
      <c r="I28" s="10">
        <v>4098386.28</v>
      </c>
      <c r="J28" s="11">
        <v>8956633.9123999998</v>
      </c>
      <c r="K28" s="10">
        <v>3375</v>
      </c>
      <c r="L28" s="10">
        <v>3375</v>
      </c>
      <c r="M28" s="10">
        <v>8058566.8262</v>
      </c>
      <c r="N28" s="10">
        <v>894692.08620000002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</row>
    <row r="29" spans="2:19" x14ac:dyDescent="0.25">
      <c r="B29" s="9" t="s">
        <v>65</v>
      </c>
      <c r="C29" s="9" t="s">
        <v>66</v>
      </c>
      <c r="D29" s="11">
        <v>0</v>
      </c>
      <c r="E29" s="10">
        <v>0</v>
      </c>
      <c r="F29" s="10">
        <v>0</v>
      </c>
      <c r="G29" s="10">
        <v>0</v>
      </c>
      <c r="H29" s="10">
        <v>3374.75</v>
      </c>
      <c r="I29" s="10">
        <v>3374.75</v>
      </c>
      <c r="J29" s="11">
        <v>-3374.75</v>
      </c>
      <c r="K29" s="11">
        <v>-3374.75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</row>
    <row r="30" spans="2:19" x14ac:dyDescent="0.25">
      <c r="B30" s="12" t="s">
        <v>8</v>
      </c>
      <c r="C30" s="12" t="s">
        <v>67</v>
      </c>
      <c r="D30" s="14">
        <v>63794964.778399996</v>
      </c>
      <c r="E30" s="13">
        <v>15646328.083900001</v>
      </c>
      <c r="F30" s="13">
        <v>79441292.862299994</v>
      </c>
      <c r="G30" s="13">
        <v>29463049.870000001</v>
      </c>
      <c r="H30" s="13">
        <v>6651411.8300000001</v>
      </c>
      <c r="I30" s="13">
        <v>36114461.700000003</v>
      </c>
      <c r="J30" s="14">
        <v>43326831.162299998</v>
      </c>
      <c r="K30" s="14">
        <v>0</v>
      </c>
      <c r="L30" s="13">
        <v>6651412.0800000001</v>
      </c>
      <c r="M30" s="13">
        <v>13311879.826199999</v>
      </c>
      <c r="N30" s="13">
        <v>15587588.419500001</v>
      </c>
      <c r="O30" s="13">
        <v>7213681.3333000001</v>
      </c>
      <c r="P30" s="13">
        <v>7213681.3333000001</v>
      </c>
      <c r="Q30" s="13">
        <v>0</v>
      </c>
      <c r="R30" s="13">
        <v>0</v>
      </c>
      <c r="S30" s="13">
        <v>0</v>
      </c>
    </row>
    <row r="31" spans="2:19" x14ac:dyDescent="0.25">
      <c r="B31" s="2" t="s">
        <v>8</v>
      </c>
      <c r="C31" s="2" t="s">
        <v>68</v>
      </c>
      <c r="D31" s="6">
        <v>-24483868.614700001</v>
      </c>
      <c r="E31" s="4">
        <v>-10809387.251700001</v>
      </c>
      <c r="F31" s="4">
        <v>-35293255.866400003</v>
      </c>
      <c r="G31" s="4">
        <v>1713719.46</v>
      </c>
      <c r="H31" s="4">
        <v>-5977531.5999999996</v>
      </c>
      <c r="I31" s="4">
        <v>-4263812.1399999997</v>
      </c>
      <c r="J31" s="6">
        <v>-31029443.726399999</v>
      </c>
      <c r="K31" s="6">
        <v>0</v>
      </c>
      <c r="L31" s="4">
        <v>-5977531.3700000001</v>
      </c>
      <c r="M31" s="4">
        <v>-7219089.8103</v>
      </c>
      <c r="N31" s="4">
        <v>-11907894.010299999</v>
      </c>
      <c r="O31" s="4">
        <v>-6619287.8049999997</v>
      </c>
      <c r="P31" s="4">
        <v>-6628501.4050000003</v>
      </c>
      <c r="Q31" s="4">
        <v>646215.49040000001</v>
      </c>
      <c r="R31" s="4">
        <v>350056.31189999997</v>
      </c>
      <c r="S31" s="4">
        <v>349057.27189999999</v>
      </c>
    </row>
    <row r="32" spans="2:19" x14ac:dyDescent="0.25">
      <c r="B32" s="9" t="s">
        <v>8</v>
      </c>
      <c r="C32" s="9" t="s">
        <v>69</v>
      </c>
      <c r="D32" s="11">
        <v>732014.7304</v>
      </c>
      <c r="E32" s="10">
        <v>-87912.069199999998</v>
      </c>
      <c r="F32" s="10">
        <v>644102.66119999997</v>
      </c>
      <c r="G32" s="10">
        <v>0</v>
      </c>
      <c r="H32" s="10">
        <v>0</v>
      </c>
      <c r="I32" s="10">
        <v>0</v>
      </c>
      <c r="J32" s="11">
        <v>644102.66119999997</v>
      </c>
      <c r="K32" s="11">
        <v>0</v>
      </c>
      <c r="L32" s="10">
        <v>0</v>
      </c>
      <c r="M32" s="10">
        <v>182783.70050000001</v>
      </c>
      <c r="N32" s="10">
        <v>186192.53709999999</v>
      </c>
      <c r="O32" s="10">
        <v>42565.709300000002</v>
      </c>
      <c r="P32" s="10">
        <v>54447.621700000003</v>
      </c>
      <c r="Q32" s="10">
        <v>74253.471600000004</v>
      </c>
      <c r="R32" s="10">
        <v>48028.8557</v>
      </c>
      <c r="S32" s="10">
        <v>55830.765299999999</v>
      </c>
    </row>
    <row r="33" spans="2:19" x14ac:dyDescent="0.25">
      <c r="B33" s="9" t="s">
        <v>8</v>
      </c>
      <c r="C33" s="9" t="s">
        <v>70</v>
      </c>
      <c r="D33" s="11">
        <v>0</v>
      </c>
      <c r="E33" s="10">
        <v>0</v>
      </c>
      <c r="F33" s="10">
        <v>0</v>
      </c>
      <c r="G33" s="10">
        <v>0</v>
      </c>
      <c r="H33" s="10">
        <v>0</v>
      </c>
      <c r="I33" s="13">
        <v>0</v>
      </c>
      <c r="J33" s="11">
        <v>0</v>
      </c>
      <c r="K33" s="11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</row>
    <row r="34" spans="2:19" x14ac:dyDescent="0.25">
      <c r="B34" s="9" t="s">
        <v>71</v>
      </c>
      <c r="C34" s="9" t="s">
        <v>72</v>
      </c>
      <c r="D34" s="11">
        <v>19602787.015799999</v>
      </c>
      <c r="E34" s="10">
        <v>409836.33740000002</v>
      </c>
      <c r="F34" s="10">
        <v>20012623.3532</v>
      </c>
      <c r="G34" s="10">
        <v>18979316.989999998</v>
      </c>
      <c r="H34" s="10">
        <v>307099.44</v>
      </c>
      <c r="I34" s="10">
        <v>19286416.43</v>
      </c>
      <c r="J34" s="11">
        <v>726206.92319999996</v>
      </c>
      <c r="K34" s="11">
        <v>0</v>
      </c>
      <c r="L34" s="10">
        <v>307099.47379999998</v>
      </c>
      <c r="M34" s="22">
        <v>329641.67290000001</v>
      </c>
      <c r="N34" s="22">
        <v>267935.04200000002</v>
      </c>
      <c r="O34" s="22">
        <v>135874.77900000001</v>
      </c>
      <c r="P34" s="22">
        <v>51701.221899999997</v>
      </c>
      <c r="Q34" s="22">
        <v>-31056.419099999999</v>
      </c>
      <c r="R34" s="22">
        <v>-17945.8184</v>
      </c>
      <c r="S34" s="22">
        <v>-9943.5889000000006</v>
      </c>
    </row>
    <row r="35" spans="2:19" x14ac:dyDescent="0.25">
      <c r="B35" s="2" t="s">
        <v>8</v>
      </c>
      <c r="C35" s="2" t="s">
        <v>73</v>
      </c>
      <c r="D35" s="6">
        <v>-4149066.8684999999</v>
      </c>
      <c r="E35" s="4">
        <v>-10487462.9835</v>
      </c>
      <c r="F35" s="4">
        <v>-14636529.852</v>
      </c>
      <c r="G35" s="4">
        <v>20693036.449999999</v>
      </c>
      <c r="H35" s="4">
        <v>-5670432.1600000001</v>
      </c>
      <c r="I35" s="4">
        <v>15022604.289999999</v>
      </c>
      <c r="J35" s="6">
        <v>-29659134.142000001</v>
      </c>
      <c r="K35" s="6">
        <v>0</v>
      </c>
      <c r="L35" s="4">
        <v>-5670431.8962000003</v>
      </c>
      <c r="M35" s="4">
        <v>-6706664.4369000001</v>
      </c>
      <c r="N35" s="4">
        <v>-11453766.4312</v>
      </c>
      <c r="O35" s="4">
        <v>-6440847.3167000003</v>
      </c>
      <c r="P35" s="4">
        <v>-6522352.5614</v>
      </c>
      <c r="Q35" s="4">
        <v>689412.5429</v>
      </c>
      <c r="R35" s="4">
        <v>380139.3492</v>
      </c>
      <c r="S35" s="4">
        <v>394944.44829999999</v>
      </c>
    </row>
    <row r="36" spans="2:19" x14ac:dyDescent="0.25">
      <c r="B36" s="2" t="s">
        <v>8</v>
      </c>
      <c r="C36" s="2" t="s">
        <v>74</v>
      </c>
      <c r="D36" s="6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6">
        <v>0</v>
      </c>
      <c r="K36" s="6">
        <v>0</v>
      </c>
      <c r="L36" s="4">
        <v>15022604.5538</v>
      </c>
      <c r="M36" s="4">
        <v>8315940.1168999998</v>
      </c>
      <c r="N36" s="4">
        <v>-3137826.3143000002</v>
      </c>
      <c r="O36" s="4">
        <v>-9578673.6309999991</v>
      </c>
      <c r="P36" s="4">
        <v>-16101026.192399999</v>
      </c>
      <c r="Q36" s="4">
        <v>-15411613.649499999</v>
      </c>
      <c r="R36" s="4">
        <v>-15031474.3003</v>
      </c>
      <c r="S36" s="4">
        <v>-14636529.852</v>
      </c>
    </row>
    <row r="37" spans="2:19" x14ac:dyDescent="0.25">
      <c r="B37" s="9" t="s">
        <v>75</v>
      </c>
      <c r="C37" s="9" t="s">
        <v>76</v>
      </c>
      <c r="D37" s="11">
        <v>4005000</v>
      </c>
      <c r="E37" s="10">
        <v>10405000</v>
      </c>
      <c r="F37" s="10">
        <v>14410000</v>
      </c>
      <c r="G37" s="10">
        <v>2930000</v>
      </c>
      <c r="H37" s="10">
        <v>2650000</v>
      </c>
      <c r="I37" s="10">
        <v>5580000</v>
      </c>
      <c r="J37" s="11">
        <v>8830000</v>
      </c>
      <c r="K37" s="11">
        <v>0</v>
      </c>
      <c r="L37" s="10">
        <v>2650000</v>
      </c>
      <c r="M37" s="10">
        <v>2850000</v>
      </c>
      <c r="N37" s="10">
        <v>3200000</v>
      </c>
      <c r="O37" s="10">
        <v>1180000</v>
      </c>
      <c r="P37" s="10">
        <v>1350000</v>
      </c>
      <c r="Q37" s="10">
        <v>130000</v>
      </c>
      <c r="R37" s="10">
        <v>120000</v>
      </c>
      <c r="S37" s="10">
        <v>0</v>
      </c>
    </row>
    <row r="38" spans="2:19" x14ac:dyDescent="0.25">
      <c r="B38" s="12" t="s">
        <v>8</v>
      </c>
      <c r="C38" s="12" t="s">
        <v>77</v>
      </c>
      <c r="D38" s="14">
        <v>4005000</v>
      </c>
      <c r="E38" s="13">
        <v>10405000</v>
      </c>
      <c r="F38" s="13">
        <v>14410000</v>
      </c>
      <c r="G38" s="13">
        <v>2930000</v>
      </c>
      <c r="H38" s="13">
        <v>2650000</v>
      </c>
      <c r="I38" s="13">
        <v>5580000</v>
      </c>
      <c r="J38" s="14">
        <v>8830000</v>
      </c>
      <c r="K38" s="14">
        <v>0</v>
      </c>
      <c r="L38" s="13">
        <v>2650000</v>
      </c>
      <c r="M38" s="13">
        <v>2850000</v>
      </c>
      <c r="N38" s="13">
        <v>3200000</v>
      </c>
      <c r="O38" s="13">
        <v>1180000</v>
      </c>
      <c r="P38" s="13">
        <v>1350000</v>
      </c>
      <c r="Q38" s="13">
        <v>130000</v>
      </c>
      <c r="R38" s="13">
        <v>120000</v>
      </c>
      <c r="S38" s="13">
        <v>0</v>
      </c>
    </row>
    <row r="39" spans="2:19" x14ac:dyDescent="0.25">
      <c r="B39" s="2" t="s">
        <v>8</v>
      </c>
      <c r="C39" s="2" t="s">
        <v>78</v>
      </c>
      <c r="D39" s="6">
        <v>-144066.86850000001</v>
      </c>
      <c r="E39" s="4">
        <v>-82462.983500000002</v>
      </c>
      <c r="F39" s="4">
        <v>-226529.85200000001</v>
      </c>
      <c r="G39" s="4">
        <v>23623036.449999999</v>
      </c>
      <c r="H39" s="4">
        <v>-3020432.16</v>
      </c>
      <c r="I39" s="4">
        <v>20602604.289999999</v>
      </c>
      <c r="J39" s="6">
        <v>-20829134.142000001</v>
      </c>
      <c r="K39" s="6">
        <v>0</v>
      </c>
      <c r="L39" s="4">
        <v>-3020431.8961999998</v>
      </c>
      <c r="M39" s="4">
        <v>-3856664.4369000001</v>
      </c>
      <c r="N39" s="4">
        <v>-8253766.4312000005</v>
      </c>
      <c r="O39" s="4">
        <v>-5260847.3167000003</v>
      </c>
      <c r="P39" s="4">
        <v>-5172352.5614</v>
      </c>
      <c r="Q39" s="4">
        <v>819412.5429</v>
      </c>
      <c r="R39" s="4">
        <v>500139.3492</v>
      </c>
      <c r="S39" s="4">
        <v>394944.44829999999</v>
      </c>
    </row>
    <row r="40" spans="2:19" x14ac:dyDescent="0.25">
      <c r="B40" s="2" t="s">
        <v>8</v>
      </c>
      <c r="C40" s="2" t="s">
        <v>79</v>
      </c>
      <c r="D40" s="6">
        <v>0</v>
      </c>
      <c r="E40" s="4">
        <v>0</v>
      </c>
      <c r="F40" s="4">
        <v>0</v>
      </c>
      <c r="G40" s="4">
        <v>0</v>
      </c>
      <c r="H40" s="4">
        <v>0</v>
      </c>
      <c r="I40" s="4"/>
      <c r="J40" s="6">
        <v>0</v>
      </c>
      <c r="K40" s="4">
        <v>0</v>
      </c>
      <c r="L40" s="4">
        <v>20602604.553800002</v>
      </c>
      <c r="M40" s="4">
        <v>16745940.116900001</v>
      </c>
      <c r="N40" s="4">
        <v>8492173.6856999993</v>
      </c>
      <c r="O40" s="4">
        <v>3231326.3689999999</v>
      </c>
      <c r="P40" s="4">
        <v>-1941026.1924000001</v>
      </c>
      <c r="Q40" s="4">
        <v>-1121613.6495000001</v>
      </c>
      <c r="R40" s="4">
        <v>-621474.3003</v>
      </c>
      <c r="S40" s="4">
        <v>-226529.85200000001</v>
      </c>
    </row>
    <row r="41" spans="2:19" x14ac:dyDescent="0.25">
      <c r="B41" s="2"/>
      <c r="C41" s="2"/>
      <c r="D41" s="27"/>
      <c r="E41" s="4"/>
      <c r="F41" s="4"/>
      <c r="G41" s="4"/>
      <c r="H41" s="4"/>
      <c r="I41" s="4"/>
      <c r="J41" s="27"/>
      <c r="K41" s="4"/>
      <c r="L41" s="4"/>
      <c r="M41" s="4"/>
      <c r="N41" s="4"/>
      <c r="O41" s="4"/>
      <c r="P41" s="4"/>
      <c r="Q41" s="4"/>
      <c r="R41" s="4"/>
      <c r="S41" s="4"/>
    </row>
    <row r="42" spans="2:19" x14ac:dyDescent="0.25">
      <c r="K42" s="5" t="s">
        <v>86</v>
      </c>
      <c r="L42" s="28">
        <v>2023</v>
      </c>
      <c r="M42" s="28">
        <v>2024</v>
      </c>
      <c r="N42" s="28">
        <v>2025</v>
      </c>
      <c r="O42" s="28">
        <v>2026</v>
      </c>
      <c r="P42" s="28">
        <v>2027</v>
      </c>
      <c r="Q42" s="28">
        <v>2028</v>
      </c>
      <c r="R42" s="28">
        <v>2029</v>
      </c>
      <c r="S42" s="28">
        <v>2030</v>
      </c>
    </row>
    <row r="43" spans="2:19" x14ac:dyDescent="0.25">
      <c r="J43" s="21" t="s">
        <v>81</v>
      </c>
      <c r="L43" s="16">
        <v>1.2999999999999999E-2</v>
      </c>
      <c r="M43" s="15">
        <v>1.6E-2</v>
      </c>
      <c r="N43" s="15">
        <v>1.6E-2</v>
      </c>
      <c r="O43" s="15">
        <v>1.6E-2</v>
      </c>
      <c r="P43" s="15">
        <v>1.6E-2</v>
      </c>
      <c r="Q43" s="15">
        <v>1.6E-2</v>
      </c>
      <c r="R43" s="15">
        <v>1.6E-2</v>
      </c>
      <c r="S43" s="15">
        <v>1.6E-2</v>
      </c>
    </row>
    <row r="44" spans="2:19" x14ac:dyDescent="0.25">
      <c r="J44" s="20" t="s">
        <v>80</v>
      </c>
      <c r="L44" s="23">
        <f>0</f>
        <v>0</v>
      </c>
      <c r="M44" s="23">
        <f>M43*SUM($L37:L37,$L44:L44)</f>
        <v>42400</v>
      </c>
      <c r="N44" s="23">
        <f>N43*SUM($L37:M37,$L44:M44)</f>
        <v>88678.400000000009</v>
      </c>
      <c r="O44" s="23">
        <f>O43*SUM($L37:N37,$L44:N44)</f>
        <v>141297.25440000001</v>
      </c>
      <c r="P44" s="23">
        <f>P43*SUM($L37:O37,$L44:O44)</f>
        <v>162438.01047040001</v>
      </c>
      <c r="Q44" s="23">
        <f>Q43*SUM($L37:P37,$L44:P44)</f>
        <v>186637.01863792641</v>
      </c>
      <c r="R44" s="23">
        <f>R43*SUM($L37:Q37,$L44:Q44)</f>
        <v>191703.21093613323</v>
      </c>
      <c r="S44" s="23">
        <f>S43*SUM($L37:R37,$L44:R44)</f>
        <v>196690.46231111136</v>
      </c>
    </row>
    <row r="45" spans="2:19" x14ac:dyDescent="0.25">
      <c r="J45" s="20" t="s">
        <v>84</v>
      </c>
      <c r="L45" s="19">
        <f>L34-L44</f>
        <v>307099.47379999998</v>
      </c>
      <c r="M45" s="19">
        <f t="shared" ref="M45:S45" si="0">M34-M44</f>
        <v>287241.67290000001</v>
      </c>
      <c r="N45" s="19">
        <f t="shared" si="0"/>
        <v>179256.64199999999</v>
      </c>
      <c r="O45" s="19">
        <f t="shared" si="0"/>
        <v>-5422.4753999999957</v>
      </c>
      <c r="P45" s="19">
        <f t="shared" si="0"/>
        <v>-110736.78857040001</v>
      </c>
      <c r="Q45" s="19">
        <f t="shared" si="0"/>
        <v>-217693.4377379264</v>
      </c>
      <c r="R45" s="19">
        <f t="shared" si="0"/>
        <v>-209649.02933613322</v>
      </c>
      <c r="S45" s="19">
        <f t="shared" si="0"/>
        <v>-206634.05121111136</v>
      </c>
    </row>
    <row r="46" spans="2:19" x14ac:dyDescent="0.25">
      <c r="J46" s="21" t="s">
        <v>83</v>
      </c>
      <c r="K46" s="19">
        <f>G25+G34</f>
        <v>50156086.319999993</v>
      </c>
      <c r="L46" s="23">
        <f>G25+G34+L25+L32+L34</f>
        <v>51137066.503799997</v>
      </c>
      <c r="M46" s="24">
        <f>L46+M25+M32+IF(M45&gt;0,M45,0)</f>
        <v>57699881.893099993</v>
      </c>
      <c r="N46" s="24">
        <f t="shared" ref="N46:S46" si="1">M46+N25+N32+IF(N45&gt;0,N45,0)</f>
        <v>61745025.481399991</v>
      </c>
      <c r="O46" s="24">
        <f t="shared" si="1"/>
        <v>62381984.718999989</v>
      </c>
      <c r="P46" s="24">
        <f t="shared" si="1"/>
        <v>63021612.268999986</v>
      </c>
      <c r="Q46" s="24">
        <f t="shared" si="1"/>
        <v>63742081.230999991</v>
      </c>
      <c r="R46" s="24">
        <f t="shared" si="1"/>
        <v>64140166.39859999</v>
      </c>
      <c r="S46" s="24">
        <f t="shared" si="1"/>
        <v>64545054.435799986</v>
      </c>
    </row>
    <row r="47" spans="2:19" x14ac:dyDescent="0.25">
      <c r="J47" s="21" t="s">
        <v>82</v>
      </c>
      <c r="K47" s="19">
        <f>G30</f>
        <v>29463049.870000001</v>
      </c>
      <c r="L47" s="23">
        <f>G30+L30</f>
        <v>36114461.950000003</v>
      </c>
      <c r="M47" s="24">
        <f>L47+M30+M33+IF(M45&lt;0,-M45,0)</f>
        <v>49426341.776200004</v>
      </c>
      <c r="N47" s="24">
        <f t="shared" ref="N47:S47" si="2">M47+N30+N33+IF(N45&lt;0,-N45,0)</f>
        <v>65013930.195700005</v>
      </c>
      <c r="O47" s="24">
        <f t="shared" si="2"/>
        <v>72233034.0044</v>
      </c>
      <c r="P47" s="24">
        <f t="shared" si="2"/>
        <v>79557452.126270398</v>
      </c>
      <c r="Q47" s="24">
        <f t="shared" si="2"/>
        <v>79775145.564008325</v>
      </c>
      <c r="R47" s="24">
        <f t="shared" si="2"/>
        <v>79984794.593344465</v>
      </c>
      <c r="S47" s="24">
        <f t="shared" si="2"/>
        <v>80191428.644555584</v>
      </c>
    </row>
    <row r="48" spans="2:19" x14ac:dyDescent="0.25">
      <c r="J48" s="21" t="s">
        <v>87</v>
      </c>
      <c r="K48" s="15">
        <f>K46/$S$46</f>
        <v>0.77707094305556679</v>
      </c>
      <c r="L48" s="15">
        <f>L46/$S$46</f>
        <v>0.79226932180626941</v>
      </c>
      <c r="M48" s="15">
        <f>M46/$S$46</f>
        <v>0.89394737362087795</v>
      </c>
      <c r="N48" s="15">
        <f>N46/$S$46</f>
        <v>0.95661900080686957</v>
      </c>
      <c r="O48" s="15">
        <f>O46/$S$46</f>
        <v>0.96648744453455371</v>
      </c>
      <c r="P48" s="15">
        <f>P46/$S$46</f>
        <v>0.97639722856976907</v>
      </c>
      <c r="Q48" s="15">
        <f>Q46/$S$46</f>
        <v>0.98755949294924406</v>
      </c>
      <c r="R48" s="15">
        <f>R46/$S$46</f>
        <v>0.9937270478623158</v>
      </c>
      <c r="S48" s="15">
        <f>S46/$S$46</f>
        <v>1</v>
      </c>
    </row>
    <row r="49" spans="10:19" x14ac:dyDescent="0.25">
      <c r="J49" s="21" t="s">
        <v>88</v>
      </c>
      <c r="K49" s="15">
        <f>K47/$S$47</f>
        <v>0.36740896587082228</v>
      </c>
      <c r="L49" s="15">
        <f>L47/$S$47</f>
        <v>0.4503531432277571</v>
      </c>
      <c r="M49" s="15">
        <f>M47/$S$47</f>
        <v>0.61635442355416492</v>
      </c>
      <c r="N49" s="15">
        <f>N47/$S$47</f>
        <v>0.81073415568976748</v>
      </c>
      <c r="O49" s="15">
        <f>O47/$S$47</f>
        <v>0.90075754011777542</v>
      </c>
      <c r="P49" s="15">
        <f>P47/$S$47</f>
        <v>0.99209421095245409</v>
      </c>
      <c r="Q49" s="15">
        <f>Q47/$S$47</f>
        <v>0.99480888309906024</v>
      </c>
      <c r="R49" s="15">
        <f>R47/$S$47</f>
        <v>0.99742324018035622</v>
      </c>
      <c r="S49" s="15">
        <f>S47/$S$47</f>
        <v>1</v>
      </c>
    </row>
    <row r="50" spans="10:19" x14ac:dyDescent="0.25">
      <c r="J50" s="21" t="s">
        <v>89</v>
      </c>
      <c r="K50" s="16">
        <f>K48*K49</f>
        <v>0.2855028315963104</v>
      </c>
      <c r="L50" s="16">
        <f t="shared" ref="L50:S50" si="3">L48*L49</f>
        <v>0.35680097935837685</v>
      </c>
      <c r="M50" s="16">
        <f t="shared" si="3"/>
        <v>0.55098841815585597</v>
      </c>
      <c r="N50" s="16">
        <f t="shared" si="3"/>
        <v>0.77556369793594637</v>
      </c>
      <c r="O50" s="16">
        <f t="shared" si="3"/>
        <v>0.87057085309365956</v>
      </c>
      <c r="P50" s="16">
        <f t="shared" si="3"/>
        <v>0.96867803805408803</v>
      </c>
      <c r="Q50" s="16">
        <f t="shared" si="3"/>
        <v>0.98243295617471171</v>
      </c>
      <c r="R50" s="16">
        <f t="shared" si="3"/>
        <v>0.99116645193369091</v>
      </c>
      <c r="S50" s="16">
        <f t="shared" si="3"/>
        <v>1</v>
      </c>
    </row>
    <row r="51" spans="10:19" x14ac:dyDescent="0.25">
      <c r="J51" s="21" t="s">
        <v>90</v>
      </c>
      <c r="K51">
        <v>0</v>
      </c>
      <c r="L51">
        <f>K51</f>
        <v>0</v>
      </c>
      <c r="M51">
        <f t="shared" ref="M51:R51" si="4">L51</f>
        <v>0</v>
      </c>
      <c r="N51">
        <f t="shared" si="4"/>
        <v>0</v>
      </c>
      <c r="O51">
        <f t="shared" si="4"/>
        <v>0</v>
      </c>
      <c r="P51">
        <f t="shared" si="4"/>
        <v>0</v>
      </c>
      <c r="Q51">
        <f t="shared" si="4"/>
        <v>0</v>
      </c>
      <c r="R51">
        <f t="shared" si="4"/>
        <v>0</v>
      </c>
      <c r="S51">
        <v>0</v>
      </c>
    </row>
    <row r="52" spans="10:19" x14ac:dyDescent="0.25">
      <c r="J52" s="25" t="s">
        <v>91</v>
      </c>
      <c r="L52" s="26">
        <f>S47-S46</f>
        <v>15646374.208755597</v>
      </c>
      <c r="M52" s="24">
        <f>L52-L53*(1.016^($S42-M42+1)-1)</f>
        <v>15334631.317538204</v>
      </c>
      <c r="N52" s="24">
        <f t="shared" ref="N52:S52" si="5">M52-M53*(1.016^($S42-N42+1)-1)</f>
        <v>15048196.041562062</v>
      </c>
      <c r="O52" s="24">
        <f t="shared" si="5"/>
        <v>14782085.225603413</v>
      </c>
      <c r="P52" s="24">
        <f t="shared" si="5"/>
        <v>14703552.21268204</v>
      </c>
      <c r="Q52" s="24">
        <f t="shared" si="5"/>
        <v>14636531.765573753</v>
      </c>
      <c r="R52" s="24">
        <f t="shared" si="5"/>
        <v>14632131.948444879</v>
      </c>
      <c r="S52" s="24">
        <f t="shared" si="5"/>
        <v>14630156.47425339</v>
      </c>
    </row>
    <row r="53" spans="10:19" x14ac:dyDescent="0.25">
      <c r="J53" s="21" t="s">
        <v>76</v>
      </c>
      <c r="K53" s="19">
        <f>G37</f>
        <v>2930000</v>
      </c>
      <c r="L53" s="24">
        <f>L50*L52-SUM($K53:K53)</f>
        <v>2652641.6410916457</v>
      </c>
      <c r="M53" s="24">
        <f>M50*(M52)-SUM($K53:L53)</f>
        <v>2866562.6115619792</v>
      </c>
      <c r="N53" s="24">
        <f>N50*(N52)-SUM($K53:M53)</f>
        <v>3221630.3166053183</v>
      </c>
      <c r="O53" s="24">
        <f>O50*(O52)-SUM($K53:N53)</f>
        <v>1198017.9760978017</v>
      </c>
      <c r="P53" s="24">
        <f>P50*(P52)-SUM($K53:O53)</f>
        <v>1374155.564449938</v>
      </c>
      <c r="Q53" s="24">
        <f>Q50*(Q52)-SUM($K53:P53)</f>
        <v>136403.0607910119</v>
      </c>
      <c r="R53" s="24">
        <f>R50*(R52)-SUM($K53:Q53)</f>
        <v>123467.13696801849</v>
      </c>
      <c r="S53" s="24">
        <f>S50*(S52)-SUM($K53:R53)</f>
        <v>127278.16668767668</v>
      </c>
    </row>
    <row r="54" spans="10:19" x14ac:dyDescent="0.25">
      <c r="L54" s="29"/>
      <c r="M54" s="29"/>
      <c r="N54" s="29"/>
      <c r="O54" s="29"/>
      <c r="P54" s="29"/>
      <c r="Q54" s="29"/>
      <c r="R54" s="29"/>
      <c r="S54" s="29"/>
    </row>
    <row r="55" spans="10:19" x14ac:dyDescent="0.25">
      <c r="M55" s="29"/>
    </row>
  </sheetData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Steffie Nuijts (NL)</dc:creator>
  <cp:lastModifiedBy>Bart Fusers</cp:lastModifiedBy>
  <dcterms:created xsi:type="dcterms:W3CDTF">2024-04-18T10:52:21Z</dcterms:created>
  <dcterms:modified xsi:type="dcterms:W3CDTF">2024-07-01T09:17:08Z</dcterms:modified>
</cp:coreProperties>
</file>